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Adidas &amp; Nike/"/>
    </mc:Choice>
  </mc:AlternateContent>
  <xr:revisionPtr revIDLastSave="0" documentId="13_ncr:1_{5DEBAE10-DADC-7144-BE0B-BE54AD7207F7}" xr6:coauthVersionLast="45" xr6:coauthVersionMax="45" xr10:uidLastSave="{00000000-0000-0000-0000-000000000000}"/>
  <bookViews>
    <workbookView xWindow="0" yWindow="500" windowWidth="28800" windowHeight="17500" xr2:uid="{86DD9114-E970-8C40-887B-7878793C85B6}"/>
  </bookViews>
  <sheets>
    <sheet name="Adidas" sheetId="1" r:id="rId1"/>
    <sheet name="Nik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2" l="1"/>
  <c r="C13" i="2"/>
  <c r="D23" i="2" l="1"/>
  <c r="C22" i="2"/>
  <c r="J25" i="2" s="1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3" i="2"/>
  <c r="F13" i="2"/>
  <c r="E13" i="2"/>
  <c r="D13" i="2"/>
  <c r="G12" i="2"/>
  <c r="F12" i="2"/>
  <c r="E12" i="2"/>
  <c r="D12" i="2"/>
  <c r="H11" i="2"/>
  <c r="H14" i="2" s="1"/>
  <c r="I11" i="2" l="1"/>
  <c r="J11" i="2" l="1"/>
  <c r="I14" i="2"/>
  <c r="I17" i="2" s="1"/>
  <c r="J14" i="2" l="1"/>
  <c r="J17" i="2" s="1"/>
  <c r="K11" i="2"/>
  <c r="C22" i="1"/>
  <c r="K14" i="2" l="1"/>
  <c r="K17" i="2" s="1"/>
  <c r="L11" i="2"/>
  <c r="H11" i="1"/>
  <c r="I11" i="1" s="1"/>
  <c r="J11" i="1" s="1"/>
  <c r="J14" i="1" s="1"/>
  <c r="L14" i="2" l="1"/>
  <c r="L17" i="2" s="1"/>
  <c r="M11" i="2"/>
  <c r="H14" i="1"/>
  <c r="I14" i="1"/>
  <c r="J25" i="1"/>
  <c r="M14" i="2" l="1"/>
  <c r="M17" i="2" s="1"/>
  <c r="N11" i="2"/>
  <c r="K11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N14" i="2" l="1"/>
  <c r="N17" i="2" s="1"/>
  <c r="O11" i="2"/>
  <c r="H16" i="1"/>
  <c r="H17" i="1" s="1"/>
  <c r="P11" i="2" l="1"/>
  <c r="O14" i="2"/>
  <c r="O17" i="2" s="1"/>
  <c r="D23" i="1"/>
  <c r="P14" i="2" l="1"/>
  <c r="P17" i="2" s="1"/>
  <c r="Q11" i="2"/>
  <c r="I17" i="1"/>
  <c r="J17" i="1"/>
  <c r="Q14" i="2" l="1"/>
  <c r="Q17" i="2" s="1"/>
  <c r="R11" i="2"/>
  <c r="G13" i="1"/>
  <c r="F13" i="1"/>
  <c r="E13" i="1"/>
  <c r="D13" i="1"/>
  <c r="C13" i="1"/>
  <c r="G12" i="1"/>
  <c r="F12" i="1"/>
  <c r="E12" i="1"/>
  <c r="D12" i="1"/>
  <c r="R14" i="2" l="1"/>
  <c r="R17" i="2" s="1"/>
  <c r="S11" i="2"/>
  <c r="L11" i="1"/>
  <c r="K14" i="1"/>
  <c r="K17" i="1" s="1"/>
  <c r="J22" i="2" l="1"/>
  <c r="J27" i="2" s="1"/>
  <c r="J26" i="2"/>
  <c r="S14" i="2"/>
  <c r="S17" i="2" s="1"/>
  <c r="T11" i="2"/>
  <c r="M11" i="1"/>
  <c r="L14" i="1"/>
  <c r="L17" i="1" s="1"/>
  <c r="U11" i="2" l="1"/>
  <c r="T14" i="2"/>
  <c r="T17" i="2" s="1"/>
  <c r="J28" i="2"/>
  <c r="J29" i="2" s="1"/>
  <c r="M14" i="1"/>
  <c r="M17" i="1" s="1"/>
  <c r="N11" i="1"/>
  <c r="V11" i="2" l="1"/>
  <c r="U14" i="2"/>
  <c r="U17" i="2" s="1"/>
  <c r="N14" i="1"/>
  <c r="N17" i="1" s="1"/>
  <c r="O11" i="1"/>
  <c r="V14" i="2" l="1"/>
  <c r="V17" i="2" s="1"/>
  <c r="W11" i="2"/>
  <c r="O14" i="1"/>
  <c r="O17" i="1" s="1"/>
  <c r="P11" i="1"/>
  <c r="X11" i="2" l="1"/>
  <c r="W14" i="2"/>
  <c r="W17" i="2" s="1"/>
  <c r="Q11" i="1"/>
  <c r="P14" i="1"/>
  <c r="P17" i="1" s="1"/>
  <c r="Y11" i="2" l="1"/>
  <c r="X14" i="2"/>
  <c r="X17" i="2" s="1"/>
  <c r="R11" i="1"/>
  <c r="Q14" i="1"/>
  <c r="Q17" i="1" s="1"/>
  <c r="Y14" i="2" l="1"/>
  <c r="Y17" i="2" s="1"/>
  <c r="Z11" i="2"/>
  <c r="S11" i="1"/>
  <c r="R14" i="1"/>
  <c r="Z14" i="2" l="1"/>
  <c r="Z17" i="2" s="1"/>
  <c r="AA11" i="2"/>
  <c r="R17" i="1"/>
  <c r="J26" i="1" s="1"/>
  <c r="T11" i="1"/>
  <c r="S14" i="1"/>
  <c r="S17" i="1" s="1"/>
  <c r="AA14" i="2" l="1"/>
  <c r="AA17" i="2" s="1"/>
  <c r="AB11" i="2"/>
  <c r="AB14" i="2" s="1"/>
  <c r="AB17" i="2" s="1"/>
  <c r="J22" i="1"/>
  <c r="J27" i="1" s="1"/>
  <c r="J28" i="1" s="1"/>
  <c r="J29" i="1" s="1"/>
  <c r="U11" i="1"/>
  <c r="T14" i="1"/>
  <c r="T17" i="1" s="1"/>
  <c r="D40" i="2" l="1"/>
  <c r="D32" i="2"/>
  <c r="D39" i="2"/>
  <c r="D38" i="2"/>
  <c r="D37" i="2"/>
  <c r="D36" i="2"/>
  <c r="D35" i="2"/>
  <c r="D34" i="2"/>
  <c r="AC17" i="2"/>
  <c r="D22" i="2" s="1"/>
  <c r="D24" i="2" s="1"/>
  <c r="D25" i="2" s="1"/>
  <c r="D33" i="2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40" i="1" l="1"/>
  <c r="D33" i="1"/>
  <c r="D32" i="1"/>
  <c r="D34" i="1"/>
  <c r="D35" i="1"/>
  <c r="D36" i="1"/>
  <c r="D37" i="1"/>
  <c r="D38" i="1"/>
  <c r="D39" i="1"/>
  <c r="AC17" i="1"/>
  <c r="D22" i="1" s="1"/>
  <c r="D24" i="1" s="1"/>
  <c r="D25" i="1" s="1"/>
</calcChain>
</file>

<file path=xl/sharedStrings.xml><?xml version="1.0" encoding="utf-8"?>
<sst xmlns="http://schemas.openxmlformats.org/spreadsheetml/2006/main" count="74" uniqueCount="33">
  <si>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</si>
  <si>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</si>
  <si>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</si>
  <si>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</si>
  <si>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</si>
  <si>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</si>
  <si>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</si>
  <si>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</si>
  <si>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</si>
  <si>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KGV 2030</t>
  </si>
  <si>
    <t>Renditeerwartung</t>
  </si>
  <si>
    <t>USD</t>
  </si>
  <si>
    <t>Verschuldung</t>
  </si>
  <si>
    <t>Renditetabelle</t>
  </si>
  <si>
    <t>Diskontierungsfaktor (WACC)</t>
  </si>
  <si>
    <t>Prognose »</t>
  </si>
  <si>
    <t>Zinszahlung (4,9% Zinsen)</t>
  </si>
  <si>
    <t>Gesamtrendite</t>
  </si>
  <si>
    <t>Gewinn (30% Unternehmenssteuer)</t>
  </si>
  <si>
    <t>Marktkap. + Div. 2030</t>
  </si>
  <si>
    <t>Umsatz</t>
  </si>
  <si>
    <t>Ausschüttungsquote</t>
  </si>
  <si>
    <t>Terminal Value</t>
  </si>
  <si>
    <t>Alle Angaben in Mio. EUR</t>
  </si>
  <si>
    <t>Marktkapitalisierung, Mio.</t>
  </si>
  <si>
    <t>Anzahl Aktien (diluted), Mio.</t>
  </si>
  <si>
    <t>Marktkap. heute, Mio.</t>
  </si>
  <si>
    <t>Dividenden bis 2030, Mio.</t>
  </si>
  <si>
    <t>Marktkap. 2030, Mio.</t>
  </si>
  <si>
    <t>Gewinn 2030, Mio.</t>
  </si>
  <si>
    <t>Alle Angaben in Mio. USD</t>
  </si>
  <si>
    <t>EUR</t>
  </si>
  <si>
    <t>Gewinn (21% Unternehmenssteuer)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</si>
</sst>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#,##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</cellXfs>
  <cellStyles count="3">
    <cellStyle name="Prozent" xfId="1" builtinId="5"/>
    <cellStyle name="Prozent 2" xfId="2" xr:uid="{7A6FE9AA-E0C4-404C-B5D7-989DCA2EB139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2.svg"/><Relationship Id="rId4" Type="http://schemas.openxmlformats.org/officeDocument/2006/relationships/image" Target="../media/image4.sv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1243310</xdr:colOff>
      <xdr:row>0</xdr:row>
      <xdr:rowOff>50801</xdr:rowOff>
    </xdr:from>
    <xdr:to>
      <xdr:col>2</xdr:col>
      <xdr:colOff>190499</xdr:colOff>
      <xdr:row>3</xdr:row>
      <xdr:rowOff>165100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6C976B-9FC4-7B48-BA02-8583DDC3F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373610" y="50801"/>
          <a:ext cx="1410989" cy="72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BD30208-1AEA-A44D-8387-169A8282C1F3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0D1AFE7-55B5-2745-A0D3-8E7A376EA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94700" y="45212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9344E24-463A-C941-9F61-DD8CD5BF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661150"/>
          <a:ext cx="612000" cy="6024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ADD8939-2CAC-CE4C-8E62-C2E5462A0745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B0B0A4E-E61D-8449-90C5-E1F3D53C3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A881583-C47F-6F42-994E-57AA09813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1162756</xdr:colOff>
      <xdr:row>0</xdr:row>
      <xdr:rowOff>76200</xdr:rowOff>
    </xdr:from>
    <xdr:to>
      <xdr:col>1</xdr:col>
      <xdr:colOff>2150533</xdr:colOff>
      <xdr:row>2</xdr:row>
      <xdr:rowOff>25400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385B22-4AE0-694E-83EF-F16A95596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293056" y="76200"/>
          <a:ext cx="987777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Normal="100" workbookViewId="0">
      <selection activeCell="Q40" sqref="Q40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23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2015</v>
      </c>
      <c r="D10" s="10">
        <v>2016</v>
      </c>
      <c r="E10" s="10">
        <v>2017</v>
      </c>
      <c r="F10" s="10">
        <v>2018</v>
      </c>
      <c r="G10" s="10">
        <v>2019</v>
      </c>
      <c r="H10" s="10">
        <v>2020</v>
      </c>
      <c r="I10" s="10">
        <v>2021</v>
      </c>
      <c r="J10" s="10">
        <v>2022</v>
      </c>
      <c r="K10" s="10">
        <v>2023</v>
      </c>
      <c r="L10" s="10">
        <v>2024</v>
      </c>
      <c r="M10" s="10">
        <v>2025</v>
      </c>
      <c r="N10" s="10">
        <v>2026</v>
      </c>
      <c r="O10" s="10">
        <v>2027</v>
      </c>
      <c r="P10" s="10">
        <v>2028</v>
      </c>
      <c r="Q10" s="10">
        <v>2029</v>
      </c>
      <c r="R10" s="10">
        <v>2030</v>
      </c>
      <c r="S10" s="10">
        <v>2031</v>
      </c>
      <c r="T10" s="10">
        <v>2032</v>
      </c>
      <c r="U10" s="10">
        <v>2033</v>
      </c>
      <c r="V10" s="10">
        <v>2034</v>
      </c>
      <c r="W10" s="10">
        <v>2035</v>
      </c>
      <c r="X10" s="10">
        <v>2036</v>
      </c>
      <c r="Y10" s="10">
        <v>2037</v>
      </c>
      <c r="Z10" s="10">
        <v>2038</v>
      </c>
      <c r="AA10" s="10">
        <v>2039</v>
      </c>
      <c r="AB10" s="10">
        <v>2040</v>
      </c>
      <c r="AC10" s="10" t="s">
        <v>22</v>
      </c>
    </row>
    <row r="11" spans="1:84" ht="17" x14ac:dyDescent="0.2">
      <c r="A11" s="11" t="s">
        <v>1</v>
      </c>
      <c r="B11" s="9" t="s">
        <v>20</v>
      </c>
      <c r="C11" s="37">
        <v>16915</v>
      </c>
      <c r="D11" s="37">
        <v>18483</v>
      </c>
      <c r="E11" s="37">
        <v>21218</v>
      </c>
      <c r="F11" s="37">
        <v>21915</v>
      </c>
      <c r="G11" s="37">
        <v>23640</v>
      </c>
      <c r="H11" s="12">
        <f t="shared" ref="H11:J11" si="0">G11*(1+H12)</f>
        <v>19928.52</v>
      </c>
      <c r="I11" s="12">
        <f t="shared" si="0"/>
        <v>23296.439880000002</v>
      </c>
      <c r="J11" s="12">
        <f t="shared" si="0"/>
        <v>25136.858630520001</v>
      </c>
      <c r="K11" s="12">
        <f>J11*(1+K12)</f>
        <v>27147.807320961601</v>
      </c>
      <c r="L11" s="12">
        <f t="shared" ref="L11" si="1">K11*(1+L12)</f>
        <v>29238.188484675644</v>
      </c>
      <c r="M11" s="12">
        <f t="shared" ref="M11" si="2">L11*(1+M12)</f>
        <v>31401.814432541643</v>
      </c>
      <c r="N11" s="12">
        <f t="shared" ref="N11" si="3">M11*(1+N12)</f>
        <v>33631.343257252098</v>
      </c>
      <c r="O11" s="12">
        <f t="shared" ref="O11" si="4">N11*(1+O12)</f>
        <v>35918.274598745244</v>
      </c>
      <c r="P11" s="12">
        <f t="shared" ref="P11" si="5">O11*(1+P12)</f>
        <v>38252.962447663682</v>
      </c>
      <c r="Q11" s="12">
        <f t="shared" ref="Q11" si="6">P11*(1+Q12)</f>
        <v>40624.64611941883</v>
      </c>
      <c r="R11" s="12">
        <f t="shared" ref="R11" si="7">Q11*(1+R12)</f>
        <v>43021.500240464542</v>
      </c>
      <c r="S11" s="12">
        <f t="shared" ref="S11" si="8">R11*(1+S12)</f>
        <v>45430.704253930562</v>
      </c>
      <c r="T11" s="12">
        <f t="shared" ref="T11" si="9">S11*(1+T12)</f>
        <v>47838.53157938888</v>
      </c>
      <c r="U11" s="12">
        <f t="shared" ref="U11" si="10">T11*(1+U12)</f>
        <v>50230.458158358328</v>
      </c>
      <c r="V11" s="12">
        <f t="shared" ref="V11" si="11">U11*(1+V12)</f>
        <v>52591.289691801168</v>
      </c>
      <c r="W11" s="12">
        <f t="shared" ref="W11" si="12">V11*(1+W12)</f>
        <v>54905.306438240419</v>
      </c>
      <c r="X11" s="12">
        <f t="shared" ref="X11" si="13">W11*(1+X12)</f>
        <v>57156.424002208274</v>
      </c>
      <c r="Y11" s="12">
        <f t="shared" ref="Y11" si="14">X11*(1+Y12)</f>
        <v>59328.368114292192</v>
      </c>
      <c r="Z11" s="12">
        <f t="shared" ref="Z11" si="15">Y11*(1+Z12)</f>
        <v>61404.860998292417</v>
      </c>
      <c r="AA11" s="12">
        <f t="shared" ref="AA11" si="16">Z11*(1+AA12)</f>
        <v>63369.816550237774</v>
      </c>
      <c r="AB11" s="12">
        <f t="shared" ref="AB11" si="17">AA11*(1+AB12)</f>
        <v>65270.911046744906</v>
      </c>
      <c r="AC11" s="12"/>
    </row>
    <row r="12" spans="1:84" x14ac:dyDescent="0.2">
      <c r="A12" s="11"/>
      <c r="B12" s="9" t="s">
        <v>2</v>
      </c>
      <c r="C12" s="13"/>
      <c r="D12" s="13">
        <f>D11/C11-1</f>
        <v>9.2698788057936632E-2</v>
      </c>
      <c r="E12" s="13">
        <f>E11/D11-1</f>
        <v>0.14797381377482011</v>
      </c>
      <c r="F12" s="13">
        <f>F11/E11-1</f>
        <v>3.2849467433311297E-2</v>
      </c>
      <c r="G12" s="13">
        <f>G11/F11-1</f>
        <v>7.8713210130047839E-2</v>
      </c>
      <c r="H12" s="1">
        <v>-0.157</v>
      </c>
      <c r="I12" s="1">
        <v>0.16900000000000001</v>
      </c>
      <c r="J12" s="1">
        <v>7.9000000000000001E-2</v>
      </c>
      <c r="K12" s="1">
        <v>0.08</v>
      </c>
      <c r="L12" s="1">
        <v>7.6999999999999999E-2</v>
      </c>
      <c r="M12" s="1">
        <v>7.3999999999999996E-2</v>
      </c>
      <c r="N12" s="1">
        <v>7.0999999999999994E-2</v>
      </c>
      <c r="O12" s="1">
        <v>6.8000000000000005E-2</v>
      </c>
      <c r="P12" s="1">
        <v>6.5000000000000002E-2</v>
      </c>
      <c r="Q12" s="1">
        <v>6.2E-2</v>
      </c>
      <c r="R12" s="1">
        <v>5.8999999999999997E-2</v>
      </c>
      <c r="S12" s="1">
        <v>5.6000000000000001E-2</v>
      </c>
      <c r="T12" s="1">
        <v>5.2999999999999999E-2</v>
      </c>
      <c r="U12" s="1">
        <v>0.05</v>
      </c>
      <c r="V12" s="1">
        <v>4.7E-2</v>
      </c>
      <c r="W12" s="1">
        <v>4.3999999999999997E-2</v>
      </c>
      <c r="X12" s="1">
        <v>4.1000000000000002E-2</v>
      </c>
      <c r="Y12" s="1">
        <v>3.7999999999999999E-2</v>
      </c>
      <c r="Z12" s="1">
        <v>3.5000000000000003E-2</v>
      </c>
      <c r="AA12" s="1">
        <v>3.2000000000000001E-2</v>
      </c>
      <c r="AB12" s="1">
        <v>0.03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8.3476204552172625E-2</v>
      </c>
      <c r="D13" s="13">
        <f t="shared" si="18"/>
        <v>7.0096845750148781E-2</v>
      </c>
      <c r="E13" s="13">
        <f t="shared" si="18"/>
        <v>9.7464417004430204E-2</v>
      </c>
      <c r="F13" s="13">
        <f t="shared" si="18"/>
        <v>0.10472279260780287</v>
      </c>
      <c r="G13" s="13">
        <f t="shared" si="18"/>
        <v>0.1093062605752961</v>
      </c>
      <c r="H13" s="1">
        <v>3.5999999999999997E-2</v>
      </c>
      <c r="I13" s="1">
        <v>0.10199999999999999</v>
      </c>
      <c r="J13" s="1">
        <v>0.113</v>
      </c>
      <c r="K13" s="1">
        <v>0.115</v>
      </c>
      <c r="L13" s="1">
        <v>0.12</v>
      </c>
      <c r="M13" s="1">
        <v>0.125</v>
      </c>
      <c r="N13" s="1">
        <v>0.13</v>
      </c>
      <c r="O13" s="1">
        <v>0.13500000000000001</v>
      </c>
      <c r="P13" s="1">
        <v>0.14000000000000001</v>
      </c>
      <c r="Q13" s="1">
        <v>0.14499999999999999</v>
      </c>
      <c r="R13" s="1">
        <v>0.15</v>
      </c>
      <c r="S13" s="1">
        <v>0.155</v>
      </c>
      <c r="T13" s="1">
        <v>0.16</v>
      </c>
      <c r="U13" s="1">
        <v>0.16500000000000001</v>
      </c>
      <c r="V13" s="1">
        <v>0.17</v>
      </c>
      <c r="W13" s="1">
        <v>0.17499999999999999</v>
      </c>
      <c r="X13" s="1">
        <v>0.18</v>
      </c>
      <c r="Y13" s="1">
        <v>0.185</v>
      </c>
      <c r="Z13" s="1">
        <v>0.19</v>
      </c>
      <c r="AA13" s="1">
        <v>0.19500000000000001</v>
      </c>
      <c r="AB13" s="1">
        <v>0.2</v>
      </c>
      <c r="AC13" s="1"/>
    </row>
    <row r="14" spans="1:84" ht="17" customHeight="1" x14ac:dyDescent="0.2">
      <c r="A14" s="11"/>
      <c r="B14" s="9" t="s">
        <v>3</v>
      </c>
      <c r="C14" s="37">
        <v>1412</v>
      </c>
      <c r="D14" s="37">
        <v>1295.5999999999999</v>
      </c>
      <c r="E14" s="37">
        <v>2068</v>
      </c>
      <c r="F14" s="37">
        <v>2295</v>
      </c>
      <c r="G14" s="37">
        <v>2584</v>
      </c>
      <c r="H14" s="12">
        <f t="shared" ref="H14:J14" si="19">H11*H13</f>
        <v>717.42671999999993</v>
      </c>
      <c r="I14" s="12">
        <f t="shared" si="19"/>
        <v>2376.2368677600002</v>
      </c>
      <c r="J14" s="12">
        <f t="shared" si="19"/>
        <v>2840.46502524876</v>
      </c>
      <c r="K14" s="12">
        <f t="shared" ref="K14:AB14" si="20">K11*K13</f>
        <v>3121.9978419105842</v>
      </c>
      <c r="L14" s="12">
        <f t="shared" si="20"/>
        <v>3508.5826181610773</v>
      </c>
      <c r="M14" s="12">
        <f t="shared" si="20"/>
        <v>3925.2268040677054</v>
      </c>
      <c r="N14" s="12">
        <f t="shared" si="20"/>
        <v>4372.0746234427725</v>
      </c>
      <c r="O14" s="12">
        <f t="shared" si="20"/>
        <v>4848.9670708306085</v>
      </c>
      <c r="P14" s="12">
        <f t="shared" si="20"/>
        <v>5355.414742672916</v>
      </c>
      <c r="Q14" s="12">
        <f t="shared" si="20"/>
        <v>5890.5736873157302</v>
      </c>
      <c r="R14" s="12">
        <f t="shared" si="20"/>
        <v>6453.2250360696808</v>
      </c>
      <c r="S14" s="12">
        <f t="shared" si="20"/>
        <v>7041.7591593592369</v>
      </c>
      <c r="T14" s="12">
        <f t="shared" si="20"/>
        <v>7654.1650527022211</v>
      </c>
      <c r="U14" s="12">
        <f t="shared" si="20"/>
        <v>8288.0255961291241</v>
      </c>
      <c r="V14" s="12">
        <f t="shared" si="20"/>
        <v>8940.5192476061984</v>
      </c>
      <c r="W14" s="12">
        <f t="shared" si="20"/>
        <v>9608.4286266920735</v>
      </c>
      <c r="X14" s="12">
        <f t="shared" si="20"/>
        <v>10288.156320397489</v>
      </c>
      <c r="Y14" s="12">
        <f t="shared" si="20"/>
        <v>10975.748101144056</v>
      </c>
      <c r="Z14" s="12">
        <f t="shared" si="20"/>
        <v>11666.92358967556</v>
      </c>
      <c r="AA14" s="12">
        <f t="shared" si="20"/>
        <v>12357.114227296366</v>
      </c>
      <c r="AB14" s="12">
        <f t="shared" si="20"/>
        <v>13054.182209348983</v>
      </c>
      <c r="AC14" s="12"/>
    </row>
    <row r="15" spans="1:84" ht="17" hidden="1" customHeight="1" x14ac:dyDescent="0.2">
      <c r="A15" s="11"/>
      <c r="B15" s="9" t="s">
        <v>12</v>
      </c>
      <c r="C15" s="36"/>
      <c r="D15" s="37"/>
      <c r="E15" s="37"/>
      <c r="F15" s="37"/>
      <c r="G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2"/>
    </row>
    <row r="16" spans="1:84" ht="17" hidden="1" customHeight="1" x14ac:dyDescent="0.2">
      <c r="A16" s="1">
        <v>0</v>
      </c>
      <c r="B16" s="9" t="s">
        <v>16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21">-$A$16*I15</f>
        <v>0</v>
      </c>
      <c r="J16" s="12">
        <f t="shared" si="21"/>
        <v>0</v>
      </c>
      <c r="K16" s="12">
        <f t="shared" si="21"/>
        <v>0</v>
      </c>
      <c r="L16" s="12">
        <f t="shared" si="21"/>
        <v>0</v>
      </c>
      <c r="M16" s="12">
        <f t="shared" si="21"/>
        <v>0</v>
      </c>
      <c r="N16" s="12">
        <f t="shared" si="21"/>
        <v>0</v>
      </c>
      <c r="O16" s="12">
        <f t="shared" si="21"/>
        <v>0</v>
      </c>
      <c r="P16" s="12">
        <f t="shared" si="21"/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 t="shared" si="21"/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21"/>
        <v>0</v>
      </c>
      <c r="AB16" s="12">
        <f t="shared" si="21"/>
        <v>0</v>
      </c>
      <c r="AC16" s="12"/>
    </row>
    <row r="17" spans="1:29" x14ac:dyDescent="0.2">
      <c r="A17" s="1">
        <v>0.3</v>
      </c>
      <c r="B17" s="9" t="s">
        <v>18</v>
      </c>
      <c r="C17" s="36">
        <v>686</v>
      </c>
      <c r="D17" s="37">
        <v>1082</v>
      </c>
      <c r="E17" s="37">
        <v>1354</v>
      </c>
      <c r="F17" s="37">
        <v>1709</v>
      </c>
      <c r="G17" s="37">
        <v>1918</v>
      </c>
      <c r="H17" s="12">
        <f>(H14+H16)*(1-$A$17)</f>
        <v>502.19870399999991</v>
      </c>
      <c r="I17" s="12">
        <f t="shared" ref="I17:AB17" si="22">(I14+I16)*(1-$A$17)</f>
        <v>1663.3658074320001</v>
      </c>
      <c r="J17" s="12">
        <f t="shared" si="22"/>
        <v>1988.3255176741318</v>
      </c>
      <c r="K17" s="12">
        <f t="shared" si="22"/>
        <v>2185.3984893374086</v>
      </c>
      <c r="L17" s="12">
        <f t="shared" si="22"/>
        <v>2456.007832712754</v>
      </c>
      <c r="M17" s="12">
        <f t="shared" si="22"/>
        <v>2747.6587628473935</v>
      </c>
      <c r="N17" s="12">
        <f t="shared" si="22"/>
        <v>3060.4522364099407</v>
      </c>
      <c r="O17" s="12">
        <f t="shared" si="22"/>
        <v>3394.2769495814259</v>
      </c>
      <c r="P17" s="12">
        <f t="shared" si="22"/>
        <v>3748.790319871041</v>
      </c>
      <c r="Q17" s="12">
        <f t="shared" si="22"/>
        <v>4123.4015811210111</v>
      </c>
      <c r="R17" s="12">
        <f t="shared" si="22"/>
        <v>4517.2575252487759</v>
      </c>
      <c r="S17" s="12">
        <f t="shared" si="22"/>
        <v>4929.2314115514655</v>
      </c>
      <c r="T17" s="12">
        <f t="shared" si="22"/>
        <v>5357.9155368915544</v>
      </c>
      <c r="U17" s="12">
        <f t="shared" si="22"/>
        <v>5801.6179172903867</v>
      </c>
      <c r="V17" s="12">
        <f t="shared" si="22"/>
        <v>6258.3634733243389</v>
      </c>
      <c r="W17" s="12">
        <f t="shared" si="22"/>
        <v>6725.9000386844509</v>
      </c>
      <c r="X17" s="12">
        <f t="shared" si="22"/>
        <v>7201.7094242782423</v>
      </c>
      <c r="Y17" s="12">
        <f t="shared" si="22"/>
        <v>7683.0236708008388</v>
      </c>
      <c r="Z17" s="12">
        <f t="shared" si="22"/>
        <v>8166.8465127728914</v>
      </c>
      <c r="AA17" s="12">
        <f t="shared" si="22"/>
        <v>8649.9799591074552</v>
      </c>
      <c r="AB17" s="12">
        <f t="shared" si="22"/>
        <v>9137.9275465442879</v>
      </c>
      <c r="AC17" s="37">
        <f>AB17*(1+AC12)/(C28-AC12)</f>
        <v>134458.07675629453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44176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24</v>
      </c>
      <c r="C22" s="12">
        <f>C23*C24</f>
        <v>54405</v>
      </c>
      <c r="D22" s="12">
        <f>NPV($C$28,H17:AB17)+AC17/(1+C28)^(2040-2020)</f>
        <v>50071.778165023665</v>
      </c>
      <c r="E22" s="20" t="s">
        <v>31</v>
      </c>
      <c r="G22" s="19"/>
      <c r="H22" s="20" t="s">
        <v>29</v>
      </c>
      <c r="I22" s="20"/>
      <c r="J22" s="14">
        <f>R17</f>
        <v>4517.2575252487759</v>
      </c>
      <c r="K22" s="20" t="s">
        <v>31</v>
      </c>
      <c r="L22" s="20"/>
    </row>
    <row r="23" spans="1:29" x14ac:dyDescent="0.2">
      <c r="A23" s="11"/>
      <c r="B23" s="9" t="s">
        <v>25</v>
      </c>
      <c r="C23" s="21">
        <v>195</v>
      </c>
      <c r="D23" s="12">
        <f>C23*(1)</f>
        <v>195</v>
      </c>
      <c r="E23" s="9"/>
      <c r="G23" s="20"/>
      <c r="H23" s="20" t="s">
        <v>9</v>
      </c>
      <c r="I23" s="20"/>
      <c r="J23" s="32">
        <v>25</v>
      </c>
      <c r="K23" s="20"/>
      <c r="L23" s="20"/>
    </row>
    <row r="24" spans="1:29" x14ac:dyDescent="0.2">
      <c r="A24" s="11"/>
      <c r="B24" s="9" t="s">
        <v>7</v>
      </c>
      <c r="C24" s="35">
        <v>279</v>
      </c>
      <c r="D24" s="33">
        <f>D22/(D23)</f>
        <v>256.7783495642239</v>
      </c>
      <c r="E24" s="20" t="s">
        <v>31</v>
      </c>
      <c r="G24" s="20"/>
      <c r="H24" s="20" t="s">
        <v>21</v>
      </c>
      <c r="I24" s="20"/>
      <c r="J24" s="34">
        <v>0.5</v>
      </c>
      <c r="K24" s="9"/>
      <c r="L24" s="20"/>
      <c r="N24" s="7"/>
    </row>
    <row r="25" spans="1:29" x14ac:dyDescent="0.2">
      <c r="A25" s="11"/>
      <c r="B25" s="9" t="s">
        <v>5</v>
      </c>
      <c r="C25" s="9"/>
      <c r="D25" s="17">
        <f>D24/C24-1</f>
        <v>-7.9647492601348069E-2</v>
      </c>
      <c r="E25" s="9"/>
      <c r="F25" s="6"/>
      <c r="G25" s="20"/>
      <c r="H25" s="20" t="s">
        <v>26</v>
      </c>
      <c r="I25" s="20"/>
      <c r="J25" s="36">
        <f>C22</f>
        <v>54405</v>
      </c>
      <c r="K25" s="20" t="s">
        <v>31</v>
      </c>
      <c r="L25" s="20"/>
      <c r="M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27</v>
      </c>
      <c r="I26" s="20"/>
      <c r="J26" s="14">
        <f>SUM(H17:R17)*J24</f>
        <v>15193.566863117941</v>
      </c>
      <c r="K26" s="20" t="s">
        <v>31</v>
      </c>
      <c r="L26" s="20"/>
      <c r="M26" s="8"/>
    </row>
    <row r="27" spans="1:29" x14ac:dyDescent="0.2">
      <c r="A27" s="9"/>
      <c r="B27" s="9"/>
      <c r="C27" s="9"/>
      <c r="D27" s="10"/>
      <c r="E27" s="10"/>
      <c r="G27" s="20"/>
      <c r="H27" s="20" t="s">
        <v>28</v>
      </c>
      <c r="I27" s="20"/>
      <c r="J27" s="14">
        <f>J23*J22</f>
        <v>112931.4381312194</v>
      </c>
      <c r="K27" s="20" t="s">
        <v>31</v>
      </c>
      <c r="L27" s="20"/>
      <c r="M27" s="3"/>
      <c r="N27" s="3"/>
      <c r="O27" s="3"/>
      <c r="P27" s="3"/>
    </row>
    <row r="28" spans="1:29" x14ac:dyDescent="0.2">
      <c r="A28" s="9"/>
      <c r="B28" s="10" t="s">
        <v>14</v>
      </c>
      <c r="C28" s="1">
        <v>0.1</v>
      </c>
      <c r="D28" s="16"/>
      <c r="E28" s="9"/>
      <c r="G28" s="20"/>
      <c r="H28" s="20" t="s">
        <v>19</v>
      </c>
      <c r="I28" s="20"/>
      <c r="J28" s="14">
        <f>J27+J26</f>
        <v>128125.00499433735</v>
      </c>
      <c r="K28" s="20" t="s">
        <v>31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17</v>
      </c>
      <c r="I29" s="20"/>
      <c r="J29" s="17">
        <f>(J28/J25)^0.1-1</f>
        <v>8.9430445647070922E-2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9" t="s">
        <v>10</v>
      </c>
      <c r="C31" s="39"/>
      <c r="D31" s="31" t="s">
        <v>5</v>
      </c>
      <c r="E31" s="22"/>
      <c r="Q31" s="7"/>
    </row>
    <row r="32" spans="1:29" x14ac:dyDescent="0.2">
      <c r="A32" s="10" t="s">
        <v>13</v>
      </c>
      <c r="B32" s="13"/>
      <c r="C32" s="13">
        <v>0.04</v>
      </c>
      <c r="D32" s="17">
        <f t="shared" ref="D32:D40" si="23">((NPV(C32,$H$17:$AB$17)+($AB$17*(1+$AC$12)/(C32-$AC$12))/(1+C32)^(2040-2020))/$D$23)/$C$24-1</f>
        <v>7.9807452516139676</v>
      </c>
      <c r="E32" s="9"/>
    </row>
    <row r="33" spans="1:5" x14ac:dyDescent="0.2">
      <c r="A33" s="9"/>
      <c r="B33" s="13"/>
      <c r="C33" s="13">
        <v>0.06</v>
      </c>
      <c r="D33" s="17">
        <f t="shared" si="23"/>
        <v>1.6514910601208994</v>
      </c>
      <c r="E33" s="9"/>
    </row>
    <row r="34" spans="1:5" x14ac:dyDescent="0.2">
      <c r="A34" s="9"/>
      <c r="B34" s="13"/>
      <c r="C34" s="13">
        <v>0.08</v>
      </c>
      <c r="D34" s="17">
        <f t="shared" si="23"/>
        <v>0.42412122541080177</v>
      </c>
      <c r="E34" s="9"/>
    </row>
    <row r="35" spans="1:5" x14ac:dyDescent="0.2">
      <c r="A35" s="9"/>
      <c r="B35" s="13"/>
      <c r="C35" s="13">
        <v>0.1</v>
      </c>
      <c r="D35" s="17">
        <f t="shared" si="23"/>
        <v>-7.9647492601348069E-2</v>
      </c>
      <c r="E35" s="9"/>
    </row>
    <row r="36" spans="1:5" x14ac:dyDescent="0.2">
      <c r="A36" s="9"/>
      <c r="B36" s="13"/>
      <c r="C36" s="13">
        <v>0.12</v>
      </c>
      <c r="D36" s="17">
        <f t="shared" si="23"/>
        <v>-0.34567880681238627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-0.50596627110810366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-0.61088576082259649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-0.6836611508903031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-0.73638354772028292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7" priority="9" percent="1" rank="10"/>
  </conditionalFormatting>
  <conditionalFormatting sqref="G6:J8">
    <cfRule type="top10" dxfId="6" priority="8" percent="1" rank="10"/>
  </conditionalFormatting>
  <conditionalFormatting sqref="L9">
    <cfRule type="top10" dxfId="5" priority="6" percent="1" rank="10"/>
  </conditionalFormatting>
  <conditionalFormatting sqref="L2:L5">
    <cfRule type="top10" dxfId="4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165E-5692-244A-9406-7F3FDB1FC445}">
  <dimension ref="A1:CF41"/>
  <sheetViews>
    <sheetView zoomScaleNormal="100" workbookViewId="0">
      <selection activeCell="J25" sqref="J25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30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0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0">
        <v>2033</v>
      </c>
      <c r="U10" s="10">
        <v>2034</v>
      </c>
      <c r="V10" s="10">
        <v>2035</v>
      </c>
      <c r="W10" s="10">
        <v>2036</v>
      </c>
      <c r="X10" s="10">
        <v>2037</v>
      </c>
      <c r="Y10" s="10">
        <v>2038</v>
      </c>
      <c r="Z10" s="10">
        <v>2039</v>
      </c>
      <c r="AA10" s="10">
        <v>2040</v>
      </c>
      <c r="AB10" s="10">
        <v>2041</v>
      </c>
      <c r="AC10" s="10" t="s">
        <v>22</v>
      </c>
    </row>
    <row r="11" spans="1:84" ht="17" x14ac:dyDescent="0.2">
      <c r="A11" s="11" t="s">
        <v>1</v>
      </c>
      <c r="B11" s="9" t="s">
        <v>20</v>
      </c>
      <c r="C11" s="37">
        <v>32464</v>
      </c>
      <c r="D11" s="37">
        <v>34254</v>
      </c>
      <c r="E11" s="37">
        <v>36363</v>
      </c>
      <c r="F11" s="37">
        <v>39122</v>
      </c>
      <c r="G11" s="37">
        <v>37420</v>
      </c>
      <c r="H11" s="12">
        <f t="shared" ref="H11:J11" si="0">G11*(1+H12)</f>
        <v>42060.08</v>
      </c>
      <c r="I11" s="12">
        <f t="shared" si="0"/>
        <v>46812.869040000005</v>
      </c>
      <c r="J11" s="12">
        <f t="shared" si="0"/>
        <v>50745.150039360007</v>
      </c>
      <c r="K11" s="12">
        <f>J11*(1+K12)</f>
        <v>54804.76204250881</v>
      </c>
      <c r="L11" s="12">
        <f t="shared" ref="L11:AB11" si="1">K11*(1+L12)</f>
        <v>59024.728719781982</v>
      </c>
      <c r="M11" s="12">
        <f t="shared" si="1"/>
        <v>63392.55864504585</v>
      </c>
      <c r="N11" s="12">
        <f t="shared" si="1"/>
        <v>67893.430308844108</v>
      </c>
      <c r="O11" s="12">
        <f t="shared" si="1"/>
        <v>72510.183569845511</v>
      </c>
      <c r="P11" s="12">
        <f t="shared" si="1"/>
        <v>77223.345501885458</v>
      </c>
      <c r="Q11" s="12">
        <f t="shared" si="1"/>
        <v>82011.192923002367</v>
      </c>
      <c r="R11" s="12">
        <f t="shared" si="1"/>
        <v>86849.853305459503</v>
      </c>
      <c r="S11" s="12">
        <f t="shared" si="1"/>
        <v>91713.445090565234</v>
      </c>
      <c r="T11" s="12">
        <f t="shared" si="1"/>
        <v>96574.25768036519</v>
      </c>
      <c r="U11" s="12">
        <f t="shared" si="1"/>
        <v>101402.97056438346</v>
      </c>
      <c r="V11" s="12">
        <f t="shared" si="1"/>
        <v>106168.91018090947</v>
      </c>
      <c r="W11" s="12">
        <f t="shared" si="1"/>
        <v>110840.34222886949</v>
      </c>
      <c r="X11" s="12">
        <f t="shared" si="1"/>
        <v>115384.79626025313</v>
      </c>
      <c r="Y11" s="12">
        <f t="shared" si="1"/>
        <v>119769.41851814276</v>
      </c>
      <c r="Z11" s="12">
        <f t="shared" si="1"/>
        <v>123961.34816627775</v>
      </c>
      <c r="AA11" s="12">
        <f t="shared" si="1"/>
        <v>127928.11130759864</v>
      </c>
      <c r="AB11" s="12">
        <f t="shared" si="1"/>
        <v>131765.95464682661</v>
      </c>
      <c r="AC11" s="12"/>
    </row>
    <row r="12" spans="1:84" x14ac:dyDescent="0.2">
      <c r="A12" s="11"/>
      <c r="B12" s="9" t="s">
        <v>2</v>
      </c>
      <c r="C12" s="13"/>
      <c r="D12" s="13">
        <f>D11/C11-1</f>
        <v>5.5137999014292838E-2</v>
      </c>
      <c r="E12" s="13">
        <f>E11/D11-1</f>
        <v>6.1569451742862213E-2</v>
      </c>
      <c r="F12" s="13">
        <f>F11/E11-1</f>
        <v>7.587382779198637E-2</v>
      </c>
      <c r="G12" s="13">
        <f>G11/F11-1</f>
        <v>-4.3504933285619329E-2</v>
      </c>
      <c r="H12" s="1">
        <v>0.124</v>
      </c>
      <c r="I12" s="1">
        <v>0.113</v>
      </c>
      <c r="J12" s="1">
        <v>8.4000000000000005E-2</v>
      </c>
      <c r="K12" s="1">
        <v>0.08</v>
      </c>
      <c r="L12" s="1">
        <v>7.6999999999999999E-2</v>
      </c>
      <c r="M12" s="1">
        <v>7.3999999999999996E-2</v>
      </c>
      <c r="N12" s="1">
        <v>7.0999999999999994E-2</v>
      </c>
      <c r="O12" s="1">
        <v>6.8000000000000005E-2</v>
      </c>
      <c r="P12" s="1">
        <v>6.5000000000000002E-2</v>
      </c>
      <c r="Q12" s="1">
        <v>6.2E-2</v>
      </c>
      <c r="R12" s="1">
        <v>5.8999999999999997E-2</v>
      </c>
      <c r="S12" s="1">
        <v>5.6000000000000001E-2</v>
      </c>
      <c r="T12" s="1">
        <v>5.2999999999999999E-2</v>
      </c>
      <c r="U12" s="1">
        <v>0.05</v>
      </c>
      <c r="V12" s="1">
        <v>4.7E-2</v>
      </c>
      <c r="W12" s="1">
        <v>4.3999999999999997E-2</v>
      </c>
      <c r="X12" s="1">
        <v>4.1000000000000002E-2</v>
      </c>
      <c r="Y12" s="1">
        <v>3.7999999999999999E-2</v>
      </c>
      <c r="Z12" s="1">
        <v>3.5000000000000003E-2</v>
      </c>
      <c r="AA12" s="1">
        <v>3.2000000000000001E-2</v>
      </c>
      <c r="AB12" s="1">
        <v>0.03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2">C14/C11</f>
        <v>0.12333661902414983</v>
      </c>
      <c r="D13" s="13">
        <f t="shared" si="2"/>
        <v>0.12594149588369241</v>
      </c>
      <c r="E13" s="13">
        <f t="shared" si="2"/>
        <v>0.12375216566289909</v>
      </c>
      <c r="F13" s="13">
        <f t="shared" si="2"/>
        <v>0.12075047287970962</v>
      </c>
      <c r="G13" s="13">
        <f t="shared" si="2"/>
        <v>7.4024585783003735E-2</v>
      </c>
      <c r="H13" s="1">
        <v>0.13100000000000001</v>
      </c>
      <c r="I13" s="1">
        <v>0.16700000000000001</v>
      </c>
      <c r="J13" s="1">
        <v>0.17100000000000001</v>
      </c>
      <c r="K13" s="1">
        <v>0.17499999999999999</v>
      </c>
      <c r="L13" s="1">
        <v>0.18</v>
      </c>
      <c r="M13" s="1">
        <v>0.185</v>
      </c>
      <c r="N13" s="1">
        <v>0.19</v>
      </c>
      <c r="O13" s="1">
        <v>0.19500000000000001</v>
      </c>
      <c r="P13" s="1">
        <v>0.2</v>
      </c>
      <c r="Q13" s="1">
        <v>0.20499999999999999</v>
      </c>
      <c r="R13" s="1">
        <v>0.21</v>
      </c>
      <c r="S13" s="1">
        <v>0.215</v>
      </c>
      <c r="T13" s="1">
        <v>0.22</v>
      </c>
      <c r="U13" s="1">
        <v>0.22500000000000001</v>
      </c>
      <c r="V13" s="1">
        <v>0.23</v>
      </c>
      <c r="W13" s="1">
        <v>0.23499999999999999</v>
      </c>
      <c r="X13" s="1">
        <v>0.24</v>
      </c>
      <c r="Y13" s="1">
        <v>0.245</v>
      </c>
      <c r="Z13" s="1">
        <v>0.25</v>
      </c>
      <c r="AA13" s="1">
        <v>0.25</v>
      </c>
      <c r="AB13" s="1">
        <v>0.25</v>
      </c>
      <c r="AC13" s="1"/>
    </row>
    <row r="14" spans="1:84" ht="17" customHeight="1" x14ac:dyDescent="0.2">
      <c r="A14" s="11"/>
      <c r="B14" s="9" t="s">
        <v>3</v>
      </c>
      <c r="C14" s="37">
        <v>4004</v>
      </c>
      <c r="D14" s="37">
        <v>4314</v>
      </c>
      <c r="E14" s="37">
        <v>4500</v>
      </c>
      <c r="F14" s="37">
        <v>4724</v>
      </c>
      <c r="G14" s="37">
        <v>2770</v>
      </c>
      <c r="H14" s="12">
        <f t="shared" ref="H14:AB14" si="3">H11*H13</f>
        <v>5509.8704800000005</v>
      </c>
      <c r="I14" s="12">
        <f t="shared" si="3"/>
        <v>7817.7491296800017</v>
      </c>
      <c r="J14" s="12">
        <f t="shared" si="3"/>
        <v>8677.4206567305628</v>
      </c>
      <c r="K14" s="12">
        <f t="shared" si="3"/>
        <v>9590.8333574390417</v>
      </c>
      <c r="L14" s="12">
        <f t="shared" si="3"/>
        <v>10624.451169560756</v>
      </c>
      <c r="M14" s="12">
        <f t="shared" si="3"/>
        <v>11727.623349333482</v>
      </c>
      <c r="N14" s="12">
        <f t="shared" si="3"/>
        <v>12899.751758680381</v>
      </c>
      <c r="O14" s="12">
        <f t="shared" si="3"/>
        <v>14139.485796119876</v>
      </c>
      <c r="P14" s="12">
        <f t="shared" si="3"/>
        <v>15444.669100377092</v>
      </c>
      <c r="Q14" s="12">
        <f t="shared" si="3"/>
        <v>16812.294549215483</v>
      </c>
      <c r="R14" s="12">
        <f t="shared" si="3"/>
        <v>18238.469194146495</v>
      </c>
      <c r="S14" s="12">
        <f t="shared" si="3"/>
        <v>19718.390694471524</v>
      </c>
      <c r="T14" s="12">
        <f t="shared" si="3"/>
        <v>21246.336689680342</v>
      </c>
      <c r="U14" s="12">
        <f t="shared" si="3"/>
        <v>22815.668376986279</v>
      </c>
      <c r="V14" s="12">
        <f t="shared" si="3"/>
        <v>24418.849341609181</v>
      </c>
      <c r="W14" s="12">
        <f t="shared" si="3"/>
        <v>26047.480423784327</v>
      </c>
      <c r="X14" s="12">
        <f t="shared" si="3"/>
        <v>27692.351102460751</v>
      </c>
      <c r="Y14" s="12">
        <f t="shared" si="3"/>
        <v>29343.507536944977</v>
      </c>
      <c r="Z14" s="12">
        <f t="shared" si="3"/>
        <v>30990.337041569437</v>
      </c>
      <c r="AA14" s="12">
        <f t="shared" si="3"/>
        <v>31982.027826899659</v>
      </c>
      <c r="AB14" s="12">
        <f t="shared" si="3"/>
        <v>32941.488661706651</v>
      </c>
      <c r="AC14" s="12"/>
    </row>
    <row r="15" spans="1:84" ht="17" hidden="1" customHeight="1" x14ac:dyDescent="0.2">
      <c r="A15" s="11"/>
      <c r="B15" s="9" t="s">
        <v>12</v>
      </c>
      <c r="C15" s="36"/>
      <c r="D15" s="37"/>
      <c r="E15" s="37"/>
      <c r="F15" s="37"/>
      <c r="G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2"/>
    </row>
    <row r="16" spans="1:84" ht="17" hidden="1" customHeight="1" x14ac:dyDescent="0.2">
      <c r="A16" s="1">
        <v>0</v>
      </c>
      <c r="B16" s="9" t="s">
        <v>16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4">-$A$16*I15</f>
        <v>0</v>
      </c>
      <c r="J16" s="12">
        <f t="shared" si="4"/>
        <v>0</v>
      </c>
      <c r="K16" s="12">
        <f t="shared" si="4"/>
        <v>0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0</v>
      </c>
      <c r="R16" s="12">
        <f t="shared" si="4"/>
        <v>0</v>
      </c>
      <c r="S16" s="12">
        <f t="shared" si="4"/>
        <v>0</v>
      </c>
      <c r="T16" s="12">
        <f t="shared" si="4"/>
        <v>0</v>
      </c>
      <c r="U16" s="12">
        <f t="shared" si="4"/>
        <v>0</v>
      </c>
      <c r="V16" s="12">
        <f t="shared" si="4"/>
        <v>0</v>
      </c>
      <c r="W16" s="12">
        <f t="shared" si="4"/>
        <v>0</v>
      </c>
      <c r="X16" s="12">
        <f t="shared" si="4"/>
        <v>0</v>
      </c>
      <c r="Y16" s="12">
        <f t="shared" si="4"/>
        <v>0</v>
      </c>
      <c r="Z16" s="12">
        <f t="shared" si="4"/>
        <v>0</v>
      </c>
      <c r="AA16" s="12">
        <f t="shared" si="4"/>
        <v>0</v>
      </c>
      <c r="AB16" s="12">
        <f t="shared" si="4"/>
        <v>0</v>
      </c>
      <c r="AC16" s="12"/>
    </row>
    <row r="17" spans="1:29" x14ac:dyDescent="0.2">
      <c r="A17" s="1">
        <v>0.21</v>
      </c>
      <c r="B17" s="9" t="s">
        <v>32</v>
      </c>
      <c r="C17" s="36">
        <v>3760</v>
      </c>
      <c r="D17" s="37">
        <v>4240</v>
      </c>
      <c r="E17" s="37">
        <v>1933</v>
      </c>
      <c r="F17" s="37">
        <v>4029</v>
      </c>
      <c r="G17" s="37">
        <v>2539</v>
      </c>
      <c r="H17" s="12">
        <f>(H14+H16)*(1-$A$17)</f>
        <v>4352.7976792000009</v>
      </c>
      <c r="I17" s="12">
        <f t="shared" ref="I17:AB17" si="5">(I14+I16)*(1-$A$17)</f>
        <v>6176.0218124472012</v>
      </c>
      <c r="J17" s="12">
        <f t="shared" si="5"/>
        <v>6855.1623188171452</v>
      </c>
      <c r="K17" s="12">
        <f t="shared" si="5"/>
        <v>7576.7583523768435</v>
      </c>
      <c r="L17" s="12">
        <f t="shared" si="5"/>
        <v>8393.3164239529979</v>
      </c>
      <c r="M17" s="12">
        <f t="shared" si="5"/>
        <v>9264.822445973452</v>
      </c>
      <c r="N17" s="12">
        <f t="shared" si="5"/>
        <v>10190.803889357501</v>
      </c>
      <c r="O17" s="12">
        <f t="shared" si="5"/>
        <v>11170.193778934703</v>
      </c>
      <c r="P17" s="12">
        <f t="shared" si="5"/>
        <v>12201.288589297903</v>
      </c>
      <c r="Q17" s="12">
        <f t="shared" si="5"/>
        <v>13281.712693880232</v>
      </c>
      <c r="R17" s="12">
        <f t="shared" si="5"/>
        <v>14408.390663375732</v>
      </c>
      <c r="S17" s="12">
        <f t="shared" si="5"/>
        <v>15577.528648632504</v>
      </c>
      <c r="T17" s="12">
        <f t="shared" si="5"/>
        <v>16784.605984847472</v>
      </c>
      <c r="U17" s="12">
        <f t="shared" si="5"/>
        <v>18024.378017819163</v>
      </c>
      <c r="V17" s="12">
        <f t="shared" si="5"/>
        <v>19290.890979871252</v>
      </c>
      <c r="W17" s="12">
        <f t="shared" si="5"/>
        <v>20577.50953478962</v>
      </c>
      <c r="X17" s="12">
        <f t="shared" si="5"/>
        <v>21876.957370943994</v>
      </c>
      <c r="Y17" s="12">
        <f t="shared" si="5"/>
        <v>23181.370954186532</v>
      </c>
      <c r="Z17" s="12">
        <f t="shared" si="5"/>
        <v>24482.366262839856</v>
      </c>
      <c r="AA17" s="12">
        <f t="shared" si="5"/>
        <v>25265.801983250731</v>
      </c>
      <c r="AB17" s="12">
        <f t="shared" si="5"/>
        <v>26023.776042748257</v>
      </c>
      <c r="AC17" s="37">
        <f>AB17*(1+AC12)/(C28-AC12)</f>
        <v>382921.27605758148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44176</v>
      </c>
      <c r="D21" s="38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</row>
    <row r="22" spans="1:29" ht="17" x14ac:dyDescent="0.2">
      <c r="A22" s="11" t="s">
        <v>0</v>
      </c>
      <c r="B22" s="9" t="s">
        <v>24</v>
      </c>
      <c r="C22" s="12">
        <f>C23*C24</f>
        <v>216660</v>
      </c>
      <c r="D22" s="12">
        <f>NPV($C$28,H17:AB17)+AC17/(1+C28)^(2040-2020)</f>
        <v>155973.53692258371</v>
      </c>
      <c r="E22" s="9" t="s">
        <v>11</v>
      </c>
      <c r="G22" s="19"/>
      <c r="H22" s="20" t="s">
        <v>29</v>
      </c>
      <c r="I22" s="20"/>
      <c r="J22" s="14">
        <f>R17</f>
        <v>14408.390663375732</v>
      </c>
      <c r="K22" s="20" t="s">
        <v>11</v>
      </c>
      <c r="L22" s="20"/>
    </row>
    <row r="23" spans="1:29" x14ac:dyDescent="0.2">
      <c r="A23" s="11"/>
      <c r="B23" s="9" t="s">
        <v>25</v>
      </c>
      <c r="C23" s="21">
        <v>1570</v>
      </c>
      <c r="D23" s="12">
        <f>C23*(1)</f>
        <v>1570</v>
      </c>
      <c r="E23" s="9"/>
      <c r="G23" s="20"/>
      <c r="H23" s="20" t="s">
        <v>9</v>
      </c>
      <c r="I23" s="20"/>
      <c r="J23" s="32">
        <v>25</v>
      </c>
      <c r="K23" s="20"/>
      <c r="L23" s="20"/>
    </row>
    <row r="24" spans="1:29" x14ac:dyDescent="0.2">
      <c r="A24" s="11"/>
      <c r="B24" s="9" t="s">
        <v>7</v>
      </c>
      <c r="C24" s="35">
        <v>138</v>
      </c>
      <c r="D24" s="33">
        <f>D22/(D23)</f>
        <v>99.346201861518281</v>
      </c>
      <c r="E24" s="9" t="s">
        <v>11</v>
      </c>
      <c r="G24" s="20"/>
      <c r="H24" s="20" t="s">
        <v>21</v>
      </c>
      <c r="I24" s="20"/>
      <c r="J24" s="34">
        <v>0.75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-0.28009998651073709</v>
      </c>
      <c r="E25" s="9"/>
      <c r="F25" s="6"/>
      <c r="G25" s="20"/>
      <c r="H25" s="20" t="s">
        <v>26</v>
      </c>
      <c r="I25" s="20"/>
      <c r="J25" s="36">
        <f>C22</f>
        <v>216660</v>
      </c>
      <c r="K25" s="20" t="s">
        <v>11</v>
      </c>
      <c r="L25" s="20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27</v>
      </c>
      <c r="I26" s="20"/>
      <c r="J26" s="14">
        <f>SUM(H17:R17)*J24</f>
        <v>77903.451485710277</v>
      </c>
      <c r="K26" s="20" t="s">
        <v>11</v>
      </c>
      <c r="L26" s="20"/>
    </row>
    <row r="27" spans="1:29" x14ac:dyDescent="0.2">
      <c r="A27" s="9"/>
      <c r="B27" s="9"/>
      <c r="C27" s="9"/>
      <c r="D27" s="10"/>
      <c r="E27" s="10"/>
      <c r="G27" s="20"/>
      <c r="H27" s="20" t="s">
        <v>28</v>
      </c>
      <c r="I27" s="20"/>
      <c r="J27" s="14">
        <f>J23*J22</f>
        <v>360209.76658439334</v>
      </c>
      <c r="K27" s="20" t="s">
        <v>11</v>
      </c>
      <c r="L27" s="20"/>
      <c r="S27" s="3"/>
      <c r="T27" s="3"/>
      <c r="U27" s="3"/>
    </row>
    <row r="28" spans="1:29" x14ac:dyDescent="0.2">
      <c r="A28" s="9"/>
      <c r="B28" s="10" t="s">
        <v>14</v>
      </c>
      <c r="C28" s="1">
        <v>0.1</v>
      </c>
      <c r="D28" s="16"/>
      <c r="E28" s="9"/>
      <c r="G28" s="20"/>
      <c r="H28" s="20" t="s">
        <v>19</v>
      </c>
      <c r="I28" s="20"/>
      <c r="J28" s="14">
        <f>J27+J26</f>
        <v>438113.21807010361</v>
      </c>
      <c r="K28" s="20" t="s">
        <v>11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17</v>
      </c>
      <c r="I29" s="20"/>
      <c r="J29" s="17">
        <f>(J28/J25)^0.1-1</f>
        <v>7.2953156494514282E-2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9" t="s">
        <v>10</v>
      </c>
      <c r="C31" s="39"/>
      <c r="D31" s="31" t="s">
        <v>5</v>
      </c>
      <c r="E31" s="22"/>
      <c r="V31" s="7"/>
    </row>
    <row r="32" spans="1:29" x14ac:dyDescent="0.2">
      <c r="A32" s="10" t="s">
        <v>13</v>
      </c>
      <c r="B32" s="13"/>
      <c r="C32" s="13">
        <v>0.04</v>
      </c>
      <c r="D32" s="17">
        <f t="shared" ref="D32:D40" si="6">((NPV(C32,$H$17:$AB$17)+($AB$17*(1+$AC$12)/(C32-$AC$12))/(1+C32)^(2040-2020))/$D$23)/$C$24-1</f>
        <v>5.5170402002608876</v>
      </c>
      <c r="E32" s="9"/>
    </row>
    <row r="33" spans="1:5" x14ac:dyDescent="0.2">
      <c r="A33" s="9"/>
      <c r="B33" s="13"/>
      <c r="C33" s="13">
        <v>0.06</v>
      </c>
      <c r="D33" s="17">
        <f t="shared" si="6"/>
        <v>0.97716866524736212</v>
      </c>
      <c r="E33" s="9"/>
    </row>
    <row r="34" spans="1:5" x14ac:dyDescent="0.2">
      <c r="A34" s="9"/>
      <c r="B34" s="13"/>
      <c r="C34" s="13">
        <v>0.08</v>
      </c>
      <c r="D34" s="17">
        <f t="shared" si="6"/>
        <v>8.8708744675517037E-2</v>
      </c>
      <c r="E34" s="9"/>
    </row>
    <row r="35" spans="1:5" x14ac:dyDescent="0.2">
      <c r="A35" s="9"/>
      <c r="B35" s="13"/>
      <c r="C35" s="13">
        <v>0.1</v>
      </c>
      <c r="D35" s="17">
        <f t="shared" si="6"/>
        <v>-0.28009998651073709</v>
      </c>
      <c r="E35" s="9"/>
    </row>
    <row r="36" spans="1:5" x14ac:dyDescent="0.2">
      <c r="A36" s="9"/>
      <c r="B36" s="13"/>
      <c r="C36" s="13">
        <v>0.12</v>
      </c>
      <c r="D36" s="17">
        <f t="shared" si="6"/>
        <v>-0.47724213382233549</v>
      </c>
      <c r="E36" s="9"/>
    </row>
    <row r="37" spans="1:5" x14ac:dyDescent="0.2">
      <c r="A37" s="9"/>
      <c r="B37" s="13"/>
      <c r="C37" s="13">
        <v>0.14000000000000001</v>
      </c>
      <c r="D37" s="17">
        <f t="shared" si="6"/>
        <v>-0.59749703126765696</v>
      </c>
      <c r="E37" s="9"/>
    </row>
    <row r="38" spans="1:5" x14ac:dyDescent="0.2">
      <c r="A38" s="9"/>
      <c r="B38" s="13"/>
      <c r="C38" s="13">
        <v>0.16</v>
      </c>
      <c r="D38" s="17">
        <f t="shared" si="6"/>
        <v>-0.6771754695103076</v>
      </c>
      <c r="E38" s="9"/>
    </row>
    <row r="39" spans="1:5" x14ac:dyDescent="0.2">
      <c r="A39" s="9"/>
      <c r="B39" s="13"/>
      <c r="C39" s="13">
        <v>0.18</v>
      </c>
      <c r="D39" s="17">
        <f t="shared" si="6"/>
        <v>-0.73309842105834178</v>
      </c>
      <c r="E39" s="9"/>
    </row>
    <row r="40" spans="1:5" x14ac:dyDescent="0.2">
      <c r="A40" s="9"/>
      <c r="B40" s="13"/>
      <c r="C40" s="13">
        <v>0.2</v>
      </c>
      <c r="D40" s="17">
        <f t="shared" si="6"/>
        <v>-0.77407296043139651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7" percent="1" rank="10"/>
  </conditionalFormatting>
  <conditionalFormatting sqref="G6:J8">
    <cfRule type="top10" dxfId="2" priority="6" percent="1" rank="10"/>
  </conditionalFormatting>
  <conditionalFormatting sqref="L9">
    <cfRule type="top10" dxfId="1" priority="5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Adidas</vt:lpstr>
      <vt:lpstr>Nike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2020-12-14T13:17:35Z</dcterms:modified>
</cp:coreProperties>
</file>